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<sst xmlns="http://schemas.openxmlformats.org/spreadsheetml/2006/main" count="165" uniqueCount="113">
  <si>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</si>
  <si>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</si>
  <si>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</si>
  <si>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</si>
  <si>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</si>
  <si>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</si>
  <si>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</si>
  <si>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</si>
  <si>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</si>
  <si>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</si>
  <si>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</si>
  <si>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</si>
  <si>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</si>
  <si>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</si>
  <si>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</si>
  <si>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</si>
  <si>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</si>
  <si>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</si>
  <si>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</si>
  <si>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</si>
  <si>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</si>
  <si>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</si>
  <si>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</si>
  <si>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</si>
  <si>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</si>
  <si>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</si>
  <si>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</si>
  <si>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</si>
  <si>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</si>
  <si>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</si>
  <si>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</si>
  <si>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</si>
  <si>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</si>
  <si>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</si>
  <si>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</si>
  <si>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</si>
  <si>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</si>
  <si>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</si>
  <si>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</si>
  <si>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</si>
  <si>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</si>
  <si>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</si>
  <si>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</si>
  <si>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</si>
  <si>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</si>
  <si>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</si>
  <si>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</si>
  <si>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</si>
  <si>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</si>
  <si>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</si>
  <si>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</si>
  <si>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</si>
  <si>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</si>
  <si>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</si>
  <si>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</si>
  <si>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</si>
  <si>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</si>
  <si>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</si>
  <si>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</si>
  <si>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</si>
  <si>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</si>
  <si>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</si>
  <si>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</si>
  <si>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</si>
  <si>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</si>
  <si>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</si>
  <si>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</si>
  <si>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</si>
  <si>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</si>
  <si>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</si>
  <si>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</si>
  <si>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</si>
  <si>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</si>
  <si>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</si>
  <si>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</si>
  <si>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</si>
  <si>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</si>
  <si>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</si>
  <si>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</si>
  <si>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</si>
  <si>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</si>
  <si>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</si>
  <si>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</si>
  <si>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</si>
  <si>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</si>
  <si>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</si>
  <si>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</si>
  <si>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</si>
  <si>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</si>
  <si>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</si>
  <si>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</si>
  <si>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</si>
  <si>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</si>
  <si>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</si>
  <si>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</si>
  <si>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</si>
  <si>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</si>
  <si>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</si>
  <si>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</si>
  <si>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</si>
  <si>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</si>
  <si>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</si>
  <si>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</si>
  <si>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</si>
  <si>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</si>
  <si>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</si>
  <si>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</si>
  <si>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</si>
  <si>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</si>
  <si>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</si>
  <si>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</si>
  <si>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</si>
  <si>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25.05.2018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</si>
</sst>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69218.59999999998</c:v>
                </c:pt>
                <c:pt idx="1">
                  <c:v>66062.70999999998</c:v>
                </c:pt>
                <c:pt idx="2">
                  <c:v>1155.7</c:v>
                </c:pt>
                <c:pt idx="3">
                  <c:v>2000.1899999999994</c:v>
                </c:pt>
              </c:numCache>
            </c:numRef>
          </c:val>
          <c:shape val="box"/>
        </c:ser>
        <c:shape val="box"/>
        <c:axId val="34470290"/>
        <c:axId val="33303203"/>
      </c:bar3DChart>
      <c:catAx>
        <c:axId val="3447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03203"/>
        <c:crosses val="autoZero"/>
        <c:auto val="1"/>
        <c:lblOffset val="100"/>
        <c:tickLblSkip val="1"/>
        <c:noMultiLvlLbl val="0"/>
      </c:catAx>
      <c:valAx>
        <c:axId val="33303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70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6"/>
          <c:w val="0.8435"/>
          <c:h val="0.70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287667.39999999997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17.3</c:v>
                </c:pt>
                <c:pt idx="4">
                  <c:v>9879.900000000001</c:v>
                </c:pt>
                <c:pt idx="5">
                  <c:v>47895.80000000001</c:v>
                </c:pt>
                <c:pt idx="6">
                  <c:v>5030.199999999999</c:v>
                </c:pt>
                <c:pt idx="7">
                  <c:v>3149.0999999999167</c:v>
                </c:pt>
              </c:numCache>
            </c:numRef>
          </c:val>
          <c:shape val="box"/>
        </c:ser>
        <c:shape val="box"/>
        <c:axId val="15214716"/>
        <c:axId val="36932445"/>
      </c:bar3DChart>
      <c:catAx>
        <c:axId val="1521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2445"/>
        <c:crosses val="autoZero"/>
        <c:auto val="1"/>
        <c:lblOffset val="100"/>
        <c:tickLblSkip val="1"/>
        <c:noMultiLvlLbl val="0"/>
      </c:catAx>
      <c:valAx>
        <c:axId val="36932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4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150861.4</c:v>
                </c:pt>
                <c:pt idx="1">
                  <c:v>100102.40000000002</c:v>
                </c:pt>
                <c:pt idx="2">
                  <c:v>150861.4</c:v>
                </c:pt>
              </c:numCache>
            </c:numRef>
          </c:val>
          <c:shape val="box"/>
        </c:ser>
        <c:shape val="box"/>
        <c:axId val="11713926"/>
        <c:axId val="49810231"/>
      </c:bar3DChart>
      <c:catAx>
        <c:axId val="11713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10231"/>
        <c:crosses val="autoZero"/>
        <c:auto val="1"/>
        <c:lblOffset val="100"/>
        <c:tickLblSkip val="1"/>
        <c:noMultiLvlLbl val="0"/>
      </c:catAx>
      <c:valAx>
        <c:axId val="49810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3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8210.2</c:v>
                </c:pt>
                <c:pt idx="1">
                  <c:v>4263.6</c:v>
                </c:pt>
                <c:pt idx="2">
                  <c:v>59.7</c:v>
                </c:pt>
                <c:pt idx="3">
                  <c:v>931.5999999999999</c:v>
                </c:pt>
                <c:pt idx="4">
                  <c:v>311.7</c:v>
                </c:pt>
                <c:pt idx="5">
                  <c:v>25.5</c:v>
                </c:pt>
                <c:pt idx="6">
                  <c:v>2618.100000000001</c:v>
                </c:pt>
              </c:numCache>
            </c:numRef>
          </c:val>
          <c:shape val="box"/>
        </c:ser>
        <c:shape val="box"/>
        <c:axId val="12268208"/>
        <c:axId val="23163953"/>
      </c:bar3DChart>
      <c:catAx>
        <c:axId val="1226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63953"/>
        <c:crosses val="autoZero"/>
        <c:auto val="1"/>
        <c:lblOffset val="100"/>
        <c:tickLblSkip val="1"/>
        <c:noMultiLvlLbl val="0"/>
      </c:catAx>
      <c:valAx>
        <c:axId val="23163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575"/>
          <c:w val="0.86375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11277.599999999999</c:v>
                </c:pt>
                <c:pt idx="1">
                  <c:v>6445.100000000001</c:v>
                </c:pt>
                <c:pt idx="3">
                  <c:v>383.3</c:v>
                </c:pt>
                <c:pt idx="4">
                  <c:v>458.40000000000003</c:v>
                </c:pt>
                <c:pt idx="5">
                  <c:v>550</c:v>
                </c:pt>
                <c:pt idx="6">
                  <c:v>3440.7999999999975</c:v>
                </c:pt>
              </c:numCache>
            </c:numRef>
          </c:val>
          <c:shape val="box"/>
        </c:ser>
        <c:shape val="box"/>
        <c:axId val="13246970"/>
        <c:axId val="27504715"/>
      </c:bar3DChart>
      <c:catAx>
        <c:axId val="1324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04715"/>
        <c:crosses val="autoZero"/>
        <c:auto val="1"/>
        <c:lblOffset val="100"/>
        <c:tickLblSkip val="2"/>
        <c:noMultiLvlLbl val="0"/>
      </c:catAx>
      <c:valAx>
        <c:axId val="27504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6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1513.1000000000001</c:v>
                </c:pt>
                <c:pt idx="1">
                  <c:v>1230.2</c:v>
                </c:pt>
                <c:pt idx="3">
                  <c:v>196.89999999999998</c:v>
                </c:pt>
                <c:pt idx="4">
                  <c:v>0</c:v>
                </c:pt>
                <c:pt idx="5">
                  <c:v>86.00000000000011</c:v>
                </c:pt>
              </c:numCache>
            </c:numRef>
          </c:val>
          <c:shape val="box"/>
        </c:ser>
        <c:shape val="box"/>
        <c:axId val="61687140"/>
        <c:axId val="6867333"/>
      </c:bar3DChart>
      <c:catAx>
        <c:axId val="616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67333"/>
        <c:crosses val="autoZero"/>
        <c:auto val="1"/>
        <c:lblOffset val="100"/>
        <c:tickLblSkip val="1"/>
        <c:noMultiLvlLbl val="0"/>
      </c:catAx>
      <c:valAx>
        <c:axId val="6867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7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14873.1</c:v>
                </c:pt>
              </c:numCache>
            </c:numRef>
          </c:val>
          <c:shape val="box"/>
        </c:ser>
        <c:shape val="box"/>
        <c:axId val="31553262"/>
        <c:axId val="21686751"/>
      </c:bar3DChart>
      <c:catAx>
        <c:axId val="3155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86751"/>
        <c:crosses val="autoZero"/>
        <c:auto val="1"/>
        <c:lblOffset val="100"/>
        <c:tickLblSkip val="1"/>
        <c:noMultiLvlLbl val="0"/>
      </c:catAx>
      <c:valAx>
        <c:axId val="21686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53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287667.39999999997</c:v>
                </c:pt>
                <c:pt idx="1">
                  <c:v>150861.4</c:v>
                </c:pt>
                <c:pt idx="2">
                  <c:v>8210.2</c:v>
                </c:pt>
                <c:pt idx="3">
                  <c:v>11277.599999999999</c:v>
                </c:pt>
                <c:pt idx="4">
                  <c:v>1513.1000000000001</c:v>
                </c:pt>
                <c:pt idx="5">
                  <c:v>69218.59999999998</c:v>
                </c:pt>
                <c:pt idx="6">
                  <c:v>14873.1</c:v>
                </c:pt>
              </c:numCache>
            </c:numRef>
          </c:val>
          <c:shape val="box"/>
        </c:ser>
        <c:shape val="box"/>
        <c:axId val="39628952"/>
        <c:axId val="7232345"/>
      </c:bar3DChart>
      <c:catAx>
        <c:axId val="3962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32345"/>
        <c:crosses val="autoZero"/>
        <c:auto val="1"/>
        <c:lblOffset val="100"/>
        <c:tickLblSkip val="1"/>
        <c:noMultiLvlLbl val="0"/>
      </c:catAx>
      <c:valAx>
        <c:axId val="7232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8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304559.71</c:v>
                </c:pt>
                <c:pt idx="1">
                  <c:v>56577.60000000001</c:v>
                </c:pt>
                <c:pt idx="2">
                  <c:v>10348.900000000001</c:v>
                </c:pt>
                <c:pt idx="3">
                  <c:v>9578.7</c:v>
                </c:pt>
                <c:pt idx="4">
                  <c:v>17.3</c:v>
                </c:pt>
                <c:pt idx="5">
                  <c:v>270057.98999999964</c:v>
                </c:pt>
              </c:numCache>
            </c:numRef>
          </c:val>
          <c:shape val="box"/>
        </c:ser>
        <c:shape val="box"/>
        <c:axId val="58199138"/>
        <c:axId val="20678643"/>
      </c:bar3DChart>
      <c:catAx>
        <c:axId val="58199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78643"/>
        <c:crosses val="autoZero"/>
        <c:auto val="1"/>
        <c:lblOffset val="100"/>
        <c:tickLblSkip val="1"/>
        <c:noMultiLvlLbl val="0"/>
      </c:catAx>
      <c:valAx>
        <c:axId val="20678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9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42" sqref="E14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111</v>
      </c>
      <c r="C3" s="170" t="s">
        <v>106</v>
      </c>
      <c r="D3" s="170" t="s">
        <v>22</v>
      </c>
      <c r="E3" s="170" t="s">
        <v>21</v>
      </c>
      <c r="F3" s="170" t="s">
        <v>109</v>
      </c>
      <c r="G3" s="170" t="s">
        <v>107</v>
      </c>
      <c r="H3" s="170" t="s">
        <v>110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9" ht="39" customHeight="1" thickBot="1">
      <c r="A5" s="175"/>
      <c r="B5" s="178"/>
      <c r="C5" s="172"/>
      <c r="D5" s="172"/>
      <c r="E5" s="172"/>
      <c r="F5" s="172"/>
      <c r="G5" s="172"/>
      <c r="H5" s="172"/>
      <c r="I5" s="172"/>
    </row>
    <row r="6" spans="1:11" ht="18.75" thickBot="1">
      <c r="A6" s="20" t="s">
        <v>26</v>
      </c>
      <c r="B6" s="38">
        <f>366354.23-830.1</f>
        <v>365524.13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</f>
        <v>287667.39999999997</v>
      </c>
      <c r="E6" s="3">
        <f>D6/D153*100</f>
        <v>44.17902626807562</v>
      </c>
      <c r="F6" s="3">
        <f>D6/B6*100</f>
        <v>78.6999752930128</v>
      </c>
      <c r="G6" s="3">
        <f aca="true" t="shared" si="0" ref="G6:G43">D6/C6*100</f>
        <v>34.87017056439833</v>
      </c>
      <c r="H6" s="40">
        <f>B6-D6</f>
        <v>77856.73000000004</v>
      </c>
      <c r="I6" s="40">
        <f aca="true" t="shared" si="1" ref="I6:I43">C6-D6</f>
        <v>537299.6000000001</v>
      </c>
      <c r="J6" s="93"/>
      <c r="K6" s="153"/>
    </row>
    <row r="7" spans="1:12" s="94" customFormat="1" ht="18">
      <c r="A7" s="140" t="s">
        <v>81</v>
      </c>
      <c r="B7" s="141">
        <v>115792.7</v>
      </c>
      <c r="C7" s="142">
        <v>262517.6</v>
      </c>
      <c r="D7" s="143">
        <f>8282.7+10875.2+9132.6+9963.6+4.3+9215.1+9968.6+9459.9+11450.4+9572.3</f>
        <v>87924.7</v>
      </c>
      <c r="E7" s="144">
        <f>D7/D6*100</f>
        <v>30.56470771453422</v>
      </c>
      <c r="F7" s="144">
        <f>D7/B7*100</f>
        <v>75.93285241643039</v>
      </c>
      <c r="G7" s="144">
        <f>D7/C7*100</f>
        <v>33.492878191786005</v>
      </c>
      <c r="H7" s="143">
        <f>B7-D7</f>
        <v>27868</v>
      </c>
      <c r="I7" s="143">
        <f t="shared" si="1"/>
        <v>174592.89999999997</v>
      </c>
      <c r="K7" s="153"/>
      <c r="L7" s="139"/>
    </row>
    <row r="8" spans="1:12" s="93" customFormat="1" ht="18">
      <c r="A8" s="102" t="s">
        <v>3</v>
      </c>
      <c r="B8" s="126">
        <f>278938-830.1</f>
        <v>278107.9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</f>
        <v>221695.10000000003</v>
      </c>
      <c r="E8" s="106">
        <f>D8/D6*100</f>
        <v>77.06646634272776</v>
      </c>
      <c r="F8" s="106">
        <f>D8/B8*100</f>
        <v>79.71549891247247</v>
      </c>
      <c r="G8" s="106">
        <f t="shared" si="0"/>
        <v>33.81367505880537</v>
      </c>
      <c r="H8" s="104">
        <f>B8-D8</f>
        <v>56412.79999999999</v>
      </c>
      <c r="I8" s="104">
        <f t="shared" si="1"/>
        <v>433942.3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</f>
        <v>17.3</v>
      </c>
      <c r="E9" s="128">
        <f>D9/D6*100</f>
        <v>0.006013889651729742</v>
      </c>
      <c r="F9" s="106">
        <f>D9/B9*100</f>
        <v>56.16883116883117</v>
      </c>
      <c r="G9" s="106">
        <f t="shared" si="0"/>
        <v>17.707267144319346</v>
      </c>
      <c r="H9" s="104">
        <f aca="true" t="shared" si="2" ref="H9:H43">B9-D9</f>
        <v>13.5</v>
      </c>
      <c r="I9" s="104">
        <f t="shared" si="1"/>
        <v>80.4</v>
      </c>
      <c r="K9" s="153"/>
      <c r="L9" s="139"/>
    </row>
    <row r="10" spans="1:12" s="93" customFormat="1" ht="18">
      <c r="A10" s="102" t="s">
        <v>1</v>
      </c>
      <c r="B10" s="126">
        <f>20572.4-9.6</f>
        <v>20562.800000000003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</f>
        <v>9879.900000000001</v>
      </c>
      <c r="E10" s="106">
        <f>D10/D6*100</f>
        <v>3.434487189024548</v>
      </c>
      <c r="F10" s="106">
        <f aca="true" t="shared" si="3" ref="F10:F41">D10/B10*100</f>
        <v>48.04744490049993</v>
      </c>
      <c r="G10" s="106">
        <f t="shared" si="0"/>
        <v>22.261252410909027</v>
      </c>
      <c r="H10" s="104">
        <f t="shared" si="2"/>
        <v>10682.900000000001</v>
      </c>
      <c r="I10" s="104">
        <f t="shared" si="1"/>
        <v>34501.700000000004</v>
      </c>
      <c r="K10" s="153"/>
      <c r="L10" s="139"/>
    </row>
    <row r="11" spans="1:12" s="93" customFormat="1" ht="18">
      <c r="A11" s="102" t="s">
        <v>0</v>
      </c>
      <c r="B11" s="126">
        <v>50855.85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</f>
        <v>47895.80000000001</v>
      </c>
      <c r="E11" s="106">
        <f>D11/D6*100</f>
        <v>16.649714218573262</v>
      </c>
      <c r="F11" s="106">
        <f t="shared" si="3"/>
        <v>94.17952900207156</v>
      </c>
      <c r="G11" s="106">
        <f t="shared" si="0"/>
        <v>54.32062640917113</v>
      </c>
      <c r="H11" s="104">
        <f t="shared" si="2"/>
        <v>2960.0499999999884</v>
      </c>
      <c r="I11" s="104">
        <f t="shared" si="1"/>
        <v>40276.599999999984</v>
      </c>
      <c r="K11" s="153"/>
      <c r="L11" s="139"/>
    </row>
    <row r="12" spans="1:12" s="93" customFormat="1" ht="18">
      <c r="A12" s="102" t="s">
        <v>14</v>
      </c>
      <c r="B12" s="126">
        <v>5554.2</v>
      </c>
      <c r="C12" s="127">
        <v>12738</v>
      </c>
      <c r="D12" s="104">
        <f>874.5+251.8+346.3+159.7+538.5+10.6+57+168.9+31.7+165.3+10.6+439.5+199.1+10.6+10.6+19+325.9+10.6+160.6+453.5-0.1+21.1+21.1+563.9+19+160.9</f>
        <v>5030.199999999999</v>
      </c>
      <c r="E12" s="106">
        <f>D12/D6*100</f>
        <v>1.7486166315682623</v>
      </c>
      <c r="F12" s="106">
        <f t="shared" si="3"/>
        <v>90.56569803031938</v>
      </c>
      <c r="G12" s="106">
        <f t="shared" si="0"/>
        <v>39.489715810959325</v>
      </c>
      <c r="H12" s="104">
        <f>B12-D12</f>
        <v>524.0000000000009</v>
      </c>
      <c r="I12" s="104">
        <f t="shared" si="1"/>
        <v>7707.800000000001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10412.579999999976</v>
      </c>
      <c r="C13" s="127">
        <f>C6-C8-C9-C10-C11-C12</f>
        <v>23939.899999999965</v>
      </c>
      <c r="D13" s="127">
        <f>D6-D8-D9-D10-D11-D12</f>
        <v>3149.0999999999167</v>
      </c>
      <c r="E13" s="106">
        <f>D13/D6*100</f>
        <v>1.0947017284544294</v>
      </c>
      <c r="F13" s="106">
        <f t="shared" si="3"/>
        <v>30.243225022039915</v>
      </c>
      <c r="G13" s="106">
        <f t="shared" si="0"/>
        <v>13.154190284837956</v>
      </c>
      <c r="H13" s="104">
        <f t="shared" si="2"/>
        <v>7263.48000000006</v>
      </c>
      <c r="I13" s="104">
        <f t="shared" si="1"/>
        <v>20790.800000000047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177295.6-1534.5+750.3</f>
        <v>176511.4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</f>
        <v>150861.4</v>
      </c>
      <c r="E18" s="3">
        <f>D18/D153*100</f>
        <v>23.168804506310632</v>
      </c>
      <c r="F18" s="3">
        <f>D18/B18*100</f>
        <v>85.46836068378586</v>
      </c>
      <c r="G18" s="3">
        <f t="shared" si="0"/>
        <v>35.505003744394585</v>
      </c>
      <c r="H18" s="40">
        <f>B18-D18</f>
        <v>25650</v>
      </c>
      <c r="I18" s="40">
        <f t="shared" si="1"/>
        <v>274040.4</v>
      </c>
      <c r="J18" s="93"/>
      <c r="K18" s="153"/>
    </row>
    <row r="19" spans="1:13" s="94" customFormat="1" ht="18">
      <c r="A19" s="140" t="s">
        <v>82</v>
      </c>
      <c r="B19" s="141">
        <f>110014.6+750.3</f>
        <v>110764.90000000001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</f>
        <v>100102.40000000002</v>
      </c>
      <c r="E19" s="144">
        <f>D19/D18*100</f>
        <v>66.35388508922762</v>
      </c>
      <c r="F19" s="144">
        <f t="shared" si="3"/>
        <v>90.37375558502741</v>
      </c>
      <c r="G19" s="144">
        <f t="shared" si="0"/>
        <v>44.11035167137211</v>
      </c>
      <c r="H19" s="143">
        <f t="shared" si="2"/>
        <v>10662.499999999985</v>
      </c>
      <c r="I19" s="143">
        <f t="shared" si="1"/>
        <v>126833.89999999997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176511.4</v>
      </c>
      <c r="C25" s="127">
        <f>C18</f>
        <v>424901.8</v>
      </c>
      <c r="D25" s="127">
        <f>D18</f>
        <v>150861.4</v>
      </c>
      <c r="E25" s="106">
        <f>D25/D18*100</f>
        <v>100</v>
      </c>
      <c r="F25" s="106">
        <f t="shared" si="3"/>
        <v>85.46836068378586</v>
      </c>
      <c r="G25" s="106">
        <f t="shared" si="0"/>
        <v>35.505003744394585</v>
      </c>
      <c r="H25" s="104">
        <f t="shared" si="2"/>
        <v>25650</v>
      </c>
      <c r="I25" s="104">
        <f t="shared" si="1"/>
        <v>274040.4</v>
      </c>
      <c r="K25" s="153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f>10336.2+20</f>
        <v>10356.2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</f>
        <v>8210.2</v>
      </c>
      <c r="E33" s="3">
        <f>D33/D153*100</f>
        <v>1.260895886938021</v>
      </c>
      <c r="F33" s="3">
        <f>D33/B33*100</f>
        <v>79.27811359378923</v>
      </c>
      <c r="G33" s="3">
        <f t="shared" si="0"/>
        <v>33.09883854529916</v>
      </c>
      <c r="H33" s="40">
        <f t="shared" si="2"/>
        <v>2146</v>
      </c>
      <c r="I33" s="40">
        <f t="shared" si="1"/>
        <v>16594.899999999998</v>
      </c>
      <c r="J33" s="160"/>
      <c r="K33" s="153"/>
    </row>
    <row r="34" spans="1:11" s="93" customFormat="1" ht="18">
      <c r="A34" s="102" t="s">
        <v>3</v>
      </c>
      <c r="B34" s="126">
        <v>5214</v>
      </c>
      <c r="C34" s="127">
        <v>12906.6</v>
      </c>
      <c r="D34" s="104">
        <f>364.6+548.1+389.3+522.2+63+395+556.7+63+391.3+512.8+63+394.6</f>
        <v>4263.6</v>
      </c>
      <c r="E34" s="106">
        <f>D34/D33*100</f>
        <v>51.93052544395995</v>
      </c>
      <c r="F34" s="106">
        <f t="shared" si="3"/>
        <v>81.77215189873418</v>
      </c>
      <c r="G34" s="106">
        <f t="shared" si="0"/>
        <v>33.03426154060713</v>
      </c>
      <c r="H34" s="104">
        <f t="shared" si="2"/>
        <v>950.3999999999996</v>
      </c>
      <c r="I34" s="104">
        <f t="shared" si="1"/>
        <v>8643</v>
      </c>
      <c r="K34" s="153"/>
    </row>
    <row r="35" spans="1:11" s="93" customFormat="1" ht="18">
      <c r="A35" s="102" t="s">
        <v>1</v>
      </c>
      <c r="B35" s="126">
        <f>27.1+32.6</f>
        <v>59.7</v>
      </c>
      <c r="C35" s="127">
        <v>81.1</v>
      </c>
      <c r="D35" s="104">
        <f>6.8+8.7+11.6+32.6</f>
        <v>59.7</v>
      </c>
      <c r="E35" s="106">
        <f>D35/D33*100</f>
        <v>0.7271442839394898</v>
      </c>
      <c r="F35" s="106">
        <f t="shared" si="3"/>
        <v>100</v>
      </c>
      <c r="G35" s="106">
        <f t="shared" si="0"/>
        <v>73.61282367447598</v>
      </c>
      <c r="H35" s="104">
        <f t="shared" si="2"/>
        <v>0</v>
      </c>
      <c r="I35" s="104">
        <f t="shared" si="1"/>
        <v>21.39999999999999</v>
      </c>
      <c r="K35" s="153"/>
    </row>
    <row r="36" spans="1:11" s="93" customFormat="1" ht="18">
      <c r="A36" s="102" t="s">
        <v>0</v>
      </c>
      <c r="B36" s="126">
        <f>1009.1-15</f>
        <v>994.1</v>
      </c>
      <c r="C36" s="127">
        <v>1783</v>
      </c>
      <c r="D36" s="104">
        <f>0.3+11.3+141.7+12.6+0.9+12.9+1.3+0.5+169.4+1.1+0.1+0.4+11.3+166.1+3.8+5.1+2.9+0.2+0.5+11.9+319.9+44.3+12.2+0.9</f>
        <v>931.5999999999999</v>
      </c>
      <c r="E36" s="106">
        <f>D36/D33*100</f>
        <v>11.346861221407515</v>
      </c>
      <c r="F36" s="106">
        <f t="shared" si="3"/>
        <v>93.71290614626294</v>
      </c>
      <c r="G36" s="106">
        <f t="shared" si="0"/>
        <v>52.24901850813236</v>
      </c>
      <c r="H36" s="104">
        <f t="shared" si="2"/>
        <v>62.500000000000114</v>
      </c>
      <c r="I36" s="104">
        <f t="shared" si="1"/>
        <v>851.4000000000001</v>
      </c>
      <c r="K36" s="153"/>
    </row>
    <row r="37" spans="1:12" s="94" customFormat="1" ht="18">
      <c r="A37" s="117" t="s">
        <v>7</v>
      </c>
      <c r="B37" s="137">
        <f>298.7+20</f>
        <v>318.7</v>
      </c>
      <c r="C37" s="138">
        <v>1008</v>
      </c>
      <c r="D37" s="108">
        <f>44.8+25.1+1.6+0.5+2.7+1+6.3+8.5+2.5+36.6+1.5+4.5+23.6+4.1+106.1+32.6+9.7</f>
        <v>311.7</v>
      </c>
      <c r="E37" s="112">
        <f>D37/D33*100</f>
        <v>3.7964970402669844</v>
      </c>
      <c r="F37" s="112">
        <f t="shared" si="3"/>
        <v>97.80357703169125</v>
      </c>
      <c r="G37" s="112">
        <f t="shared" si="0"/>
        <v>30.922619047619047</v>
      </c>
      <c r="H37" s="108">
        <f t="shared" si="2"/>
        <v>7</v>
      </c>
      <c r="I37" s="108">
        <f t="shared" si="1"/>
        <v>696.3</v>
      </c>
      <c r="K37" s="153"/>
      <c r="L37" s="139"/>
    </row>
    <row r="38" spans="1:11" s="93" customFormat="1" ht="18">
      <c r="A38" s="102" t="s">
        <v>14</v>
      </c>
      <c r="B38" s="126">
        <f>25.5+8.7</f>
        <v>34.2</v>
      </c>
      <c r="C38" s="127">
        <f>80.8+8.7</f>
        <v>89.5</v>
      </c>
      <c r="D38" s="127">
        <f>5.1+5.1+5.1+5.1+5.1</f>
        <v>25.5</v>
      </c>
      <c r="E38" s="106">
        <f>D38/D33*100</f>
        <v>0.3105892670093298</v>
      </c>
      <c r="F38" s="106">
        <f t="shared" si="3"/>
        <v>74.56140350877193</v>
      </c>
      <c r="G38" s="106">
        <f t="shared" si="0"/>
        <v>28.49162011173184</v>
      </c>
      <c r="H38" s="104">
        <f t="shared" si="2"/>
        <v>8.700000000000003</v>
      </c>
      <c r="I38" s="104">
        <f t="shared" si="1"/>
        <v>64</v>
      </c>
      <c r="K38" s="153"/>
    </row>
    <row r="39" spans="1:11" s="93" customFormat="1" ht="18.75" thickBot="1">
      <c r="A39" s="102" t="s">
        <v>27</v>
      </c>
      <c r="B39" s="126">
        <f>B33-B34-B36-B37-B35-B38</f>
        <v>3735.500000000001</v>
      </c>
      <c r="C39" s="126">
        <f>C33-C34-C36-C37-C35-C38</f>
        <v>8936.899999999998</v>
      </c>
      <c r="D39" s="126">
        <f>D33-D34-D36-D37-D35-D38</f>
        <v>2618.100000000001</v>
      </c>
      <c r="E39" s="106">
        <f>D39/D33*100</f>
        <v>31.88838274341673</v>
      </c>
      <c r="F39" s="106">
        <f t="shared" si="3"/>
        <v>70.08700307857048</v>
      </c>
      <c r="G39" s="106">
        <f t="shared" si="0"/>
        <v>29.295393257169728</v>
      </c>
      <c r="H39" s="104">
        <f>B39-D39</f>
        <v>1117.4</v>
      </c>
      <c r="I39" s="104">
        <f t="shared" si="1"/>
        <v>6318.799999999997</v>
      </c>
      <c r="K39" s="153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63.9+1.1+0.6+70.8+0.5+48+6.7+2+13.7+10.4+20.2+0.7+37.4</f>
        <v>275.99999999999994</v>
      </c>
      <c r="E43" s="3">
        <f>D43/D153*100</f>
        <v>0.04238718481826188</v>
      </c>
      <c r="F43" s="3">
        <f>D43/B43*100</f>
        <v>26.29322663618176</v>
      </c>
      <c r="G43" s="3">
        <f t="shared" si="0"/>
        <v>17.316017316017312</v>
      </c>
      <c r="H43" s="40">
        <f t="shared" si="2"/>
        <v>773.7</v>
      </c>
      <c r="I43" s="40">
        <f t="shared" si="1"/>
        <v>1317.9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237.1+562.8+52.3+349.2+679.9+375.9+891+78.3+327.4+13.5+670.2+386.5</f>
        <v>4624.1</v>
      </c>
      <c r="E45" s="3">
        <f>D45/D153*100</f>
        <v>0.7101542801381334</v>
      </c>
      <c r="F45" s="3">
        <f>D45/B45*100</f>
        <v>81.03215631297644</v>
      </c>
      <c r="G45" s="3">
        <f aca="true" t="shared" si="5" ref="G45:G76">D45/C45*100</f>
        <v>34.06009000979649</v>
      </c>
      <c r="H45" s="40">
        <f>B45-D45</f>
        <v>1082.3999999999996</v>
      </c>
      <c r="I45" s="40">
        <f aca="true" t="shared" si="6" ref="I45:I77">C45-D45</f>
        <v>8952.199999999999</v>
      </c>
      <c r="J45" s="93"/>
      <c r="K45" s="153"/>
    </row>
    <row r="46" spans="1:11" s="93" customFormat="1" ht="18">
      <c r="A46" s="102" t="s">
        <v>3</v>
      </c>
      <c r="B46" s="126">
        <v>4987.5</v>
      </c>
      <c r="C46" s="127">
        <v>12256.4</v>
      </c>
      <c r="D46" s="104">
        <f>237.1+551.8+334.1+652.5+314.7+746.1+319.2+661.7+342.8</f>
        <v>4160</v>
      </c>
      <c r="E46" s="106">
        <f>D46/D45*100</f>
        <v>89.96345234748382</v>
      </c>
      <c r="F46" s="106">
        <f aca="true" t="shared" si="7" ref="F46:F74">D46/B46*100</f>
        <v>83.40852130325814</v>
      </c>
      <c r="G46" s="106">
        <f t="shared" si="5"/>
        <v>33.941450997030124</v>
      </c>
      <c r="H46" s="104">
        <f aca="true" t="shared" si="8" ref="H46:H74">B46-D46</f>
        <v>827.5</v>
      </c>
      <c r="I46" s="104">
        <f t="shared" si="6"/>
        <v>8096.4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39.4</v>
      </c>
      <c r="C48" s="127">
        <v>98.9</v>
      </c>
      <c r="D48" s="104">
        <f>5.7+6.1+6.5+7.7</f>
        <v>26</v>
      </c>
      <c r="E48" s="106">
        <f>D48/D45*100</f>
        <v>0.562271577171774</v>
      </c>
      <c r="F48" s="106">
        <f t="shared" si="7"/>
        <v>65.98984771573603</v>
      </c>
      <c r="G48" s="106">
        <f t="shared" si="5"/>
        <v>26.289180990899897</v>
      </c>
      <c r="H48" s="104">
        <f t="shared" si="8"/>
        <v>13.399999999999999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553.6</v>
      </c>
      <c r="C49" s="127">
        <v>879.8</v>
      </c>
      <c r="D49" s="104">
        <f>7.3+51.9+12.7-0.1+54.5+131.2+49.5+2.4+7.9+11.2</f>
        <v>328.49999999999994</v>
      </c>
      <c r="E49" s="106">
        <f>D49/D45*100</f>
        <v>7.10408511926645</v>
      </c>
      <c r="F49" s="106">
        <f t="shared" si="7"/>
        <v>59.33887283236993</v>
      </c>
      <c r="G49" s="106">
        <f t="shared" si="5"/>
        <v>37.338031370766075</v>
      </c>
      <c r="H49" s="104">
        <f t="shared" si="8"/>
        <v>225.10000000000008</v>
      </c>
      <c r="I49" s="104">
        <f t="shared" si="6"/>
        <v>551.3</v>
      </c>
      <c r="K49" s="153"/>
    </row>
    <row r="50" spans="1:11" s="93" customFormat="1" ht="18.75" thickBot="1">
      <c r="A50" s="102" t="s">
        <v>27</v>
      </c>
      <c r="B50" s="127">
        <f>B45-B46-B49-B48-B47</f>
        <v>125.19999999999997</v>
      </c>
      <c r="C50" s="127">
        <f>C45-C46-C49-C48-C47</f>
        <v>339.6999999999997</v>
      </c>
      <c r="D50" s="127">
        <f>D45-D46-D49-D48-D47</f>
        <v>109.60000000000042</v>
      </c>
      <c r="E50" s="106">
        <f>D50/D45*100</f>
        <v>2.3701909560779484</v>
      </c>
      <c r="F50" s="106">
        <f t="shared" si="7"/>
        <v>87.53993610223677</v>
      </c>
      <c r="G50" s="106">
        <f t="shared" si="5"/>
        <v>32.26376214306757</v>
      </c>
      <c r="H50" s="104">
        <f t="shared" si="8"/>
        <v>15.599999999999554</v>
      </c>
      <c r="I50" s="104">
        <f t="shared" si="6"/>
        <v>230.09999999999928</v>
      </c>
      <c r="K50" s="153"/>
    </row>
    <row r="51" spans="1:11" ht="18.75" thickBot="1">
      <c r="A51" s="20" t="s">
        <v>4</v>
      </c>
      <c r="B51" s="38">
        <v>14103.9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</f>
        <v>11277.599999999999</v>
      </c>
      <c r="E51" s="3">
        <f>D51/D153*100</f>
        <v>1.7319772300957617</v>
      </c>
      <c r="F51" s="3">
        <f>D51/B51*100</f>
        <v>79.96086188926466</v>
      </c>
      <c r="G51" s="3">
        <f t="shared" si="5"/>
        <v>30.005268003001163</v>
      </c>
      <c r="H51" s="40">
        <f>B51-D51</f>
        <v>2826.300000000001</v>
      </c>
      <c r="I51" s="40">
        <f t="shared" si="6"/>
        <v>26307.800000000003</v>
      </c>
      <c r="J51" s="93"/>
      <c r="K51" s="153"/>
    </row>
    <row r="52" spans="1:11" s="93" customFormat="1" ht="18">
      <c r="A52" s="102" t="s">
        <v>3</v>
      </c>
      <c r="B52" s="126">
        <v>8043.2</v>
      </c>
      <c r="C52" s="127">
        <v>20097.4</v>
      </c>
      <c r="D52" s="104">
        <f>632.9+34.3+767.3+737.6+710.6+649.6+792.4+1.6+643.1+825.6+650.1</f>
        <v>6445.100000000001</v>
      </c>
      <c r="E52" s="106">
        <f>D52/D51*100</f>
        <v>57.14957083067321</v>
      </c>
      <c r="F52" s="106">
        <f t="shared" si="7"/>
        <v>80.13104237119556</v>
      </c>
      <c r="G52" s="106">
        <f t="shared" si="5"/>
        <v>32.06932239991243</v>
      </c>
      <c r="H52" s="104">
        <f t="shared" si="8"/>
        <v>1598.0999999999985</v>
      </c>
      <c r="I52" s="104">
        <f t="shared" si="6"/>
        <v>13652.3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447.9</v>
      </c>
      <c r="C54" s="127">
        <v>993.6</v>
      </c>
      <c r="D54" s="104">
        <f>0.2+4.2+9+4.7+9.6+6.3+43.2+2.7+18.4+3.8+23.8+5.3+12.2+43.2+26.7+3.8+22.4+0.4+59.7+30.3+3.3+19.2+7+2.9+21</f>
        <v>383.3</v>
      </c>
      <c r="E54" s="106">
        <f>D54/D51*100</f>
        <v>3.3987727885365686</v>
      </c>
      <c r="F54" s="106">
        <f t="shared" si="7"/>
        <v>85.57713775396294</v>
      </c>
      <c r="G54" s="106">
        <f t="shared" si="5"/>
        <v>38.576892109500804</v>
      </c>
      <c r="H54" s="104">
        <f t="shared" si="8"/>
        <v>64.59999999999997</v>
      </c>
      <c r="I54" s="104">
        <f t="shared" si="6"/>
        <v>610.3</v>
      </c>
      <c r="K54" s="153"/>
    </row>
    <row r="55" spans="1:11" s="93" customFormat="1" ht="18">
      <c r="A55" s="102" t="s">
        <v>0</v>
      </c>
      <c r="B55" s="126">
        <v>571.3</v>
      </c>
      <c r="C55" s="127">
        <v>1219.9</v>
      </c>
      <c r="D55" s="104">
        <f>0.5+1+2.8+12.3+8.3+0.5+0.4+8.7+15+0.3+1.3+64.9+33.6+8.1+0.1+94.7+0.3+9.8+7.8+0.9+1.8+16.2+18.3+3.3+0.1+11.4+0.1+11.4+1.3+76.9+6.2+11.6+2.1+2.4+24</f>
        <v>458.40000000000003</v>
      </c>
      <c r="E55" s="106">
        <f>D55/D51*100</f>
        <v>4.06469461587572</v>
      </c>
      <c r="F55" s="106">
        <f t="shared" si="7"/>
        <v>80.23805356205148</v>
      </c>
      <c r="G55" s="106">
        <f t="shared" si="5"/>
        <v>37.57685056152143</v>
      </c>
      <c r="H55" s="104">
        <f t="shared" si="8"/>
        <v>112.89999999999992</v>
      </c>
      <c r="I55" s="104">
        <f t="shared" si="6"/>
        <v>761.5</v>
      </c>
      <c r="K55" s="153"/>
    </row>
    <row r="56" spans="1:11" s="93" customFormat="1" ht="18">
      <c r="A56" s="102" t="s">
        <v>14</v>
      </c>
      <c r="B56" s="126">
        <v>550</v>
      </c>
      <c r="C56" s="127">
        <v>1320</v>
      </c>
      <c r="D56" s="127">
        <f>110+110+110+110+110</f>
        <v>550</v>
      </c>
      <c r="E56" s="106">
        <f>D56/D51*100</f>
        <v>4.876924168262751</v>
      </c>
      <c r="F56" s="106">
        <f>D56/B56*100</f>
        <v>100</v>
      </c>
      <c r="G56" s="106">
        <f>D56/C56*100</f>
        <v>41.66666666666667</v>
      </c>
      <c r="H56" s="104">
        <f t="shared" si="8"/>
        <v>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4491.5</v>
      </c>
      <c r="C57" s="127">
        <f>C51-C52-C55-C54-C53-C56</f>
        <v>13940.6</v>
      </c>
      <c r="D57" s="127">
        <f>D51-D52-D55-D54-D53-D56</f>
        <v>3440.7999999999975</v>
      </c>
      <c r="E57" s="106">
        <f>D57/D51*100</f>
        <v>30.510037596651753</v>
      </c>
      <c r="F57" s="106">
        <f t="shared" si="7"/>
        <v>76.60692419013687</v>
      </c>
      <c r="G57" s="106">
        <f t="shared" si="5"/>
        <v>24.681864482160005</v>
      </c>
      <c r="H57" s="104">
        <f>B57-D57</f>
        <v>1050.7000000000025</v>
      </c>
      <c r="I57" s="104">
        <f>C57-D57</f>
        <v>10499.800000000003</v>
      </c>
      <c r="K57" s="153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1632.1</v>
      </c>
      <c r="C59" s="39">
        <f>9264.2+300</f>
        <v>9564.2</v>
      </c>
      <c r="D59" s="40">
        <f>87.7+79.1+87.8+43.2+40.5+47.6+13+155.9+18+2.1+84.2+29.6+0.7+0.5+5.7+85.8+109.2+19+38.3+85.7+1.2+4.7+89.8+79.1+0.4+114.1+2.5+187.7</f>
        <v>1513.1000000000001</v>
      </c>
      <c r="E59" s="3">
        <f>D59/D153*100</f>
        <v>0.2323769903931597</v>
      </c>
      <c r="F59" s="3">
        <f>D59/B59*100</f>
        <v>92.70878009925863</v>
      </c>
      <c r="G59" s="3">
        <f t="shared" si="5"/>
        <v>15.820455448443152</v>
      </c>
      <c r="H59" s="40">
        <f>B59-D59</f>
        <v>118.99999999999977</v>
      </c>
      <c r="I59" s="40">
        <f t="shared" si="6"/>
        <v>8051.1</v>
      </c>
      <c r="J59" s="93"/>
      <c r="K59" s="153"/>
    </row>
    <row r="60" spans="1:11" s="93" customFormat="1" ht="18">
      <c r="A60" s="102" t="s">
        <v>3</v>
      </c>
      <c r="B60" s="126">
        <v>1268.68</v>
      </c>
      <c r="C60" s="127">
        <v>3119.7</v>
      </c>
      <c r="D60" s="104">
        <f>77.7+79.1+76.9+40.5+47.3+155.9+45+29.2+85.8+95.3+38.3+30.7+89.8+79.1+80.7+178.9</f>
        <v>1230.2</v>
      </c>
      <c r="E60" s="106">
        <f>D60/D59*100</f>
        <v>81.30328464741258</v>
      </c>
      <c r="F60" s="106">
        <f t="shared" si="7"/>
        <v>96.96692625405933</v>
      </c>
      <c r="G60" s="106">
        <f t="shared" si="5"/>
        <v>39.43327884091419</v>
      </c>
      <c r="H60" s="104">
        <f t="shared" si="8"/>
        <v>38.48000000000002</v>
      </c>
      <c r="I60" s="104">
        <f t="shared" si="6"/>
        <v>1889.4999999999998</v>
      </c>
      <c r="K60" s="153"/>
    </row>
    <row r="61" spans="1:11" s="93" customFormat="1" ht="18">
      <c r="A61" s="102" t="s">
        <v>1</v>
      </c>
      <c r="B61" s="126">
        <v>0</v>
      </c>
      <c r="C61" s="127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236.7</v>
      </c>
      <c r="C62" s="127">
        <v>393.7</v>
      </c>
      <c r="D62" s="104">
        <f>10.9+43.2+13-3+39.2+5.7+50.2+3.5+0.2+29.7+2.5+1.8</f>
        <v>196.89999999999998</v>
      </c>
      <c r="E62" s="106">
        <f>D62/D59*100</f>
        <v>13.01301962857709</v>
      </c>
      <c r="F62" s="106">
        <f t="shared" si="7"/>
        <v>83.18546683565694</v>
      </c>
      <c r="G62" s="106">
        <f t="shared" si="5"/>
        <v>50.01270002540005</v>
      </c>
      <c r="H62" s="104">
        <f t="shared" si="8"/>
        <v>39.80000000000001</v>
      </c>
      <c r="I62" s="104">
        <f t="shared" si="6"/>
        <v>196.8</v>
      </c>
      <c r="K62" s="153"/>
    </row>
    <row r="63" spans="1:11" s="93" customFormat="1" ht="18">
      <c r="A63" s="102" t="s">
        <v>14</v>
      </c>
      <c r="B63" s="126">
        <v>0</v>
      </c>
      <c r="C63" s="127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126.71999999999986</v>
      </c>
      <c r="C64" s="127">
        <f>C59-C60-C62-C63-C61</f>
        <v>823.5000000000007</v>
      </c>
      <c r="D64" s="127">
        <f>D59-D60-D62-D63-D61</f>
        <v>86.00000000000011</v>
      </c>
      <c r="E64" s="106">
        <f>D64/D59*100</f>
        <v>5.683695724010317</v>
      </c>
      <c r="F64" s="106">
        <f t="shared" si="7"/>
        <v>67.86616161616178</v>
      </c>
      <c r="G64" s="106">
        <f t="shared" si="5"/>
        <v>10.443230115361269</v>
      </c>
      <c r="H64" s="104">
        <f t="shared" si="8"/>
        <v>40.71999999999974</v>
      </c>
      <c r="I64" s="104">
        <f t="shared" si="6"/>
        <v>737.5000000000006</v>
      </c>
      <c r="K64" s="153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326.36</v>
      </c>
      <c r="C69" s="39">
        <f>C70+C71</f>
        <v>541.8</v>
      </c>
      <c r="D69" s="40">
        <f>D70+D71</f>
        <v>225.5</v>
      </c>
      <c r="E69" s="30">
        <f>D69/D153*100</f>
        <v>0.03463155861057267</v>
      </c>
      <c r="F69" s="3">
        <f>D69/B69*100</f>
        <v>69.09547738693466</v>
      </c>
      <c r="G69" s="3">
        <f t="shared" si="5"/>
        <v>41.620524178663715</v>
      </c>
      <c r="H69" s="40">
        <f>B69-D69</f>
        <v>100.86000000000001</v>
      </c>
      <c r="I69" s="40">
        <f t="shared" si="6"/>
        <v>316.29999999999995</v>
      </c>
      <c r="J69" s="93"/>
      <c r="K69" s="153"/>
    </row>
    <row r="70" spans="1:11" s="93" customFormat="1" ht="18">
      <c r="A70" s="102" t="s">
        <v>8</v>
      </c>
      <c r="B70" s="126">
        <v>250.36</v>
      </c>
      <c r="C70" s="127">
        <v>292.7</v>
      </c>
      <c r="D70" s="104">
        <f>169.5+50</f>
        <v>219.5</v>
      </c>
      <c r="E70" s="106">
        <f>D70/D69*100</f>
        <v>97.33924611973393</v>
      </c>
      <c r="F70" s="106">
        <f t="shared" si="7"/>
        <v>87.67374980028758</v>
      </c>
      <c r="G70" s="106">
        <f t="shared" si="5"/>
        <v>74.99145883156815</v>
      </c>
      <c r="H70" s="104">
        <f t="shared" si="8"/>
        <v>30.860000000000014</v>
      </c>
      <c r="I70" s="104">
        <f t="shared" si="6"/>
        <v>73.19999999999999</v>
      </c>
      <c r="K70" s="153"/>
    </row>
    <row r="71" spans="1:11" s="93" customFormat="1" ht="18.75" thickBot="1">
      <c r="A71" s="102" t="s">
        <v>9</v>
      </c>
      <c r="B71" s="126">
        <f>90-14</f>
        <v>76</v>
      </c>
      <c r="C71" s="127">
        <f>293.1-30-14</f>
        <v>249.10000000000002</v>
      </c>
      <c r="D71" s="104">
        <v>6</v>
      </c>
      <c r="E71" s="106">
        <f>D71/D70*100</f>
        <v>2.733485193621868</v>
      </c>
      <c r="F71" s="106">
        <f t="shared" si="7"/>
        <v>7.894736842105263</v>
      </c>
      <c r="G71" s="106">
        <f t="shared" si="5"/>
        <v>2.408671216378964</v>
      </c>
      <c r="H71" s="104">
        <f t="shared" si="8"/>
        <v>70</v>
      </c>
      <c r="I71" s="104">
        <f t="shared" si="6"/>
        <v>243.10000000000002</v>
      </c>
      <c r="K71" s="153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8.7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8.75" thickBot="1">
      <c r="A90" s="12" t="s">
        <v>10</v>
      </c>
      <c r="B90" s="45">
        <f>87211.2+300</f>
        <v>87511.2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</f>
        <v>69218.59999999998</v>
      </c>
      <c r="E90" s="3">
        <f>D90/D153*100</f>
        <v>10.630368083555586</v>
      </c>
      <c r="F90" s="3">
        <f aca="true" t="shared" si="11" ref="F90:F96">D90/B90*100</f>
        <v>79.09684703215129</v>
      </c>
      <c r="G90" s="3">
        <f t="shared" si="9"/>
        <v>34.14408681711677</v>
      </c>
      <c r="H90" s="40">
        <f aca="true" t="shared" si="12" ref="H90:H96">B90-D90</f>
        <v>18292.60000000002</v>
      </c>
      <c r="I90" s="40">
        <f t="shared" si="10"/>
        <v>133506.40000000002</v>
      </c>
      <c r="J90" s="168"/>
      <c r="K90" s="153"/>
    </row>
    <row r="91" spans="1:11" s="93" customFormat="1" ht="18">
      <c r="A91" s="102" t="s">
        <v>3</v>
      </c>
      <c r="B91" s="126">
        <f>82395.6+300</f>
        <v>82695.6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</f>
        <v>66062.70999999998</v>
      </c>
      <c r="E91" s="106">
        <f>D91/D90*100</f>
        <v>95.44069079698231</v>
      </c>
      <c r="F91" s="106">
        <f t="shared" si="11"/>
        <v>79.88660823550464</v>
      </c>
      <c r="G91" s="106">
        <f t="shared" si="9"/>
        <v>34.77839553195442</v>
      </c>
      <c r="H91" s="104">
        <f t="shared" si="12"/>
        <v>16632.89000000003</v>
      </c>
      <c r="I91" s="104">
        <f t="shared" si="10"/>
        <v>123890.59000000001</v>
      </c>
      <c r="J91" s="168"/>
      <c r="K91" s="153"/>
    </row>
    <row r="92" spans="1:11" s="93" customFormat="1" ht="18">
      <c r="A92" s="102" t="s">
        <v>25</v>
      </c>
      <c r="B92" s="126">
        <v>1437.9</v>
      </c>
      <c r="C92" s="127">
        <v>2776.4</v>
      </c>
      <c r="D92" s="104">
        <f>57.2+3.4+167+1.4+0.3+83.4+86.9+53.1+5.3+4.7+17+71.3+284.2+22.2+4.8+1.6+54.8+7+38.2+1.9+190</f>
        <v>1155.7</v>
      </c>
      <c r="E92" s="106">
        <f>D92/D90*100</f>
        <v>1.6696379296894195</v>
      </c>
      <c r="F92" s="106">
        <f t="shared" si="11"/>
        <v>80.37415675638083</v>
      </c>
      <c r="G92" s="106">
        <f t="shared" si="9"/>
        <v>41.62584641982423</v>
      </c>
      <c r="H92" s="104">
        <f t="shared" si="12"/>
        <v>282.20000000000005</v>
      </c>
      <c r="I92" s="104">
        <f t="shared" si="10"/>
        <v>1620.7</v>
      </c>
      <c r="J92" s="168"/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J93" s="168"/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3377.699999999991</v>
      </c>
      <c r="C94" s="127">
        <f>C90-C91-C92-C93</f>
        <v>9995.300000000012</v>
      </c>
      <c r="D94" s="127">
        <f>D90-D91-D92-D93</f>
        <v>2000.1899999999994</v>
      </c>
      <c r="E94" s="106">
        <f>D94/D90*100</f>
        <v>2.889671273328267</v>
      </c>
      <c r="F94" s="106">
        <f t="shared" si="11"/>
        <v>59.21751487698743</v>
      </c>
      <c r="G94" s="106">
        <f>D94/C94*100</f>
        <v>20.011305313497314</v>
      </c>
      <c r="H94" s="104">
        <f t="shared" si="12"/>
        <v>1377.5099999999918</v>
      </c>
      <c r="I94" s="104">
        <f>C94-D94</f>
        <v>7995.110000000012</v>
      </c>
      <c r="J94" s="168"/>
      <c r="K94" s="153"/>
    </row>
    <row r="95" spans="1:11" ht="18">
      <c r="A95" s="82" t="s">
        <v>12</v>
      </c>
      <c r="B95" s="91">
        <f>19652.3-477.7-64.6</f>
        <v>19110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</f>
        <v>14873.1</v>
      </c>
      <c r="E95" s="81">
        <f>D95/D153*100</f>
        <v>2.2841624584075757</v>
      </c>
      <c r="F95" s="83">
        <f t="shared" si="11"/>
        <v>77.82888540031398</v>
      </c>
      <c r="G95" s="80">
        <f>D95/C95*100</f>
        <v>31.21793849228005</v>
      </c>
      <c r="H95" s="84">
        <f t="shared" si="12"/>
        <v>4236.9</v>
      </c>
      <c r="I95" s="87">
        <f>C95-D95</f>
        <v>32769.700000000004</v>
      </c>
      <c r="J95" s="93"/>
      <c r="K95" s="153"/>
    </row>
    <row r="96" spans="1:11" s="93" customFormat="1" ht="18.75" thickBot="1">
      <c r="A96" s="129" t="s">
        <v>83</v>
      </c>
      <c r="B96" s="130">
        <v>5686.3</v>
      </c>
      <c r="C96" s="131">
        <v>12814.2</v>
      </c>
      <c r="D96" s="132">
        <f>194.6+1234+3.4+0.5+79.6+1026.4+0.7+86.4+939.3+4.2+87.7+624.7+8+489.4</f>
        <v>4778.899999999999</v>
      </c>
      <c r="E96" s="133">
        <f>D96/D95*100</f>
        <v>32.1311629720771</v>
      </c>
      <c r="F96" s="134">
        <f t="shared" si="11"/>
        <v>84.04234739637371</v>
      </c>
      <c r="G96" s="135">
        <f>D96/C96*100</f>
        <v>37.29378345897519</v>
      </c>
      <c r="H96" s="136">
        <f t="shared" si="12"/>
        <v>907.4000000000015</v>
      </c>
      <c r="I96" s="125">
        <f>C96-D96</f>
        <v>8035.300000000002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8.75" thickBot="1">
      <c r="A102" s="12" t="s">
        <v>11</v>
      </c>
      <c r="B102" s="90">
        <f>5410.9+431.1</f>
        <v>5842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</f>
        <v>4345.5</v>
      </c>
      <c r="E102" s="17">
        <f>D102/D153*100</f>
        <v>0.667367795752743</v>
      </c>
      <c r="F102" s="17">
        <f>D102/B102*100</f>
        <v>74.38377268058885</v>
      </c>
      <c r="G102" s="17">
        <f aca="true" t="shared" si="14" ref="G102:G151">D102/C102*100</f>
        <v>33.731806714535225</v>
      </c>
      <c r="H102" s="65">
        <f aca="true" t="shared" si="15" ref="H102:H107">B102-D102</f>
        <v>1496.5</v>
      </c>
      <c r="I102" s="65">
        <f aca="true" t="shared" si="16" ref="I102:I151">C102-D102</f>
        <v>8537</v>
      </c>
      <c r="J102" s="94"/>
      <c r="K102" s="153"/>
    </row>
    <row r="103" spans="1:11" s="93" customFormat="1" ht="18.75" customHeight="1">
      <c r="A103" s="102" t="s">
        <v>3</v>
      </c>
      <c r="B103" s="118">
        <v>109.13</v>
      </c>
      <c r="C103" s="119">
        <v>363.8</v>
      </c>
      <c r="D103" s="119">
        <v>31.2</v>
      </c>
      <c r="E103" s="120">
        <f>D103/D102*100</f>
        <v>0.7179841215050051</v>
      </c>
      <c r="F103" s="106">
        <f>D103/B103*100</f>
        <v>28.58975533767067</v>
      </c>
      <c r="G103" s="120">
        <f>D103/C103*100</f>
        <v>8.5761407366685</v>
      </c>
      <c r="H103" s="119">
        <f t="shared" si="15"/>
        <v>77.92999999999999</v>
      </c>
      <c r="I103" s="119">
        <f t="shared" si="16"/>
        <v>332.6</v>
      </c>
      <c r="K103" s="153"/>
    </row>
    <row r="104" spans="1:11" s="93" customFormat="1" ht="18">
      <c r="A104" s="121" t="s">
        <v>48</v>
      </c>
      <c r="B104" s="103">
        <f>4556.9+406</f>
        <v>4962.9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144.4+120.5+0.1+30.9+51.6+143.7+13.5+25.2+149.6+13.2+89.8+139.7+98.3+5.4+242.1+58+85.3+255.7+143.8+288+14+143.1+279.2+72.1+105.1+85.1+152.8+111.4+4.2+3.8+32.7+179.1+117.7+1.8+39+92.5+1.8+43.8+330+35+1.8</f>
        <v>3944.8</v>
      </c>
      <c r="E104" s="106">
        <f>D104/D102*100</f>
        <v>90.77896674720976</v>
      </c>
      <c r="F104" s="106">
        <f aca="true" t="shared" si="17" ref="F104:F151">D104/B104*100</f>
        <v>79.48578452114691</v>
      </c>
      <c r="G104" s="106">
        <f t="shared" si="14"/>
        <v>37.42658988055142</v>
      </c>
      <c r="H104" s="104">
        <f t="shared" si="15"/>
        <v>1018.0999999999995</v>
      </c>
      <c r="I104" s="104">
        <f t="shared" si="16"/>
        <v>6595.3</v>
      </c>
      <c r="K104" s="153"/>
    </row>
    <row r="105" spans="1:11" s="93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769.9700000000003</v>
      </c>
      <c r="C106" s="123">
        <f>C102-C103-C104</f>
        <v>1978.6000000000004</v>
      </c>
      <c r="D106" s="123">
        <f>D102-D103-D104</f>
        <v>369.5</v>
      </c>
      <c r="E106" s="124">
        <f>D106/D102*100</f>
        <v>8.503049131285238</v>
      </c>
      <c r="F106" s="124">
        <f t="shared" si="17"/>
        <v>47.98888268374091</v>
      </c>
      <c r="G106" s="124">
        <f t="shared" si="14"/>
        <v>18.674820580208223</v>
      </c>
      <c r="H106" s="125">
        <f>B106-D106</f>
        <v>400.47000000000025</v>
      </c>
      <c r="I106" s="125">
        <f t="shared" si="16"/>
        <v>1609.1000000000004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200545.79999999996</v>
      </c>
      <c r="C107" s="67">
        <f>SUM(C108:C150)-C115-C119+C151-C141-C142-C109-C112-C122-C123-C139-C132-C130-C137</f>
        <v>560863.7</v>
      </c>
      <c r="D107" s="67">
        <f>SUM(D108:D150)-D115-D119+D151-D141-D142-D109-D112-D122-D123-D139-D132-D130-D137</f>
        <v>98047.7</v>
      </c>
      <c r="E107" s="68">
        <f>D107/D153*100</f>
        <v>15.057847756903971</v>
      </c>
      <c r="F107" s="68">
        <f>D107/B107*100</f>
        <v>48.890428021928166</v>
      </c>
      <c r="G107" s="68">
        <f t="shared" si="14"/>
        <v>17.481555679214043</v>
      </c>
      <c r="H107" s="67">
        <f t="shared" si="15"/>
        <v>102498.09999999996</v>
      </c>
      <c r="I107" s="67">
        <f t="shared" si="16"/>
        <v>462815.99999999994</v>
      </c>
      <c r="J107" s="113"/>
      <c r="K107" s="153"/>
      <c r="L107" s="96"/>
    </row>
    <row r="108" spans="1:12" s="93" customFormat="1" ht="36.75">
      <c r="A108" s="97" t="s">
        <v>52</v>
      </c>
      <c r="B108" s="163">
        <v>1966.6</v>
      </c>
      <c r="C108" s="159">
        <v>4459</v>
      </c>
      <c r="D108" s="98">
        <f>17.1+81.1+17.3+60.5+173.3+3.4+2+0.4+29.3+1.7+177.1+0.8+38.8+139.8+0.3+1.9+1.8+6.5+136+91.3+0.1+1.8+1.1+2.4+3.5+2+3.4+72.2+73.1+42.5+21.2+13.2+0.2</f>
        <v>1217.0999999999997</v>
      </c>
      <c r="E108" s="99">
        <f>D108/D107*100</f>
        <v>1.2413345749058873</v>
      </c>
      <c r="F108" s="99">
        <f t="shared" si="17"/>
        <v>61.88853859452862</v>
      </c>
      <c r="G108" s="99">
        <f t="shared" si="14"/>
        <v>27.295357703520963</v>
      </c>
      <c r="H108" s="100">
        <f>B108-D108</f>
        <v>749.5000000000002</v>
      </c>
      <c r="I108" s="100">
        <f t="shared" si="16"/>
        <v>3241.9000000000005</v>
      </c>
      <c r="K108" s="153"/>
      <c r="L108" s="101"/>
    </row>
    <row r="109" spans="1:12" s="93" customFormat="1" ht="18">
      <c r="A109" s="102" t="s">
        <v>25</v>
      </c>
      <c r="B109" s="164">
        <v>923</v>
      </c>
      <c r="C109" s="104">
        <v>1995</v>
      </c>
      <c r="D109" s="105">
        <f>47.8+0.9+59.7+88.3+0.1+59.2+38.8+107.4+24+91.1+38+42.5+2</f>
        <v>599.8000000000001</v>
      </c>
      <c r="E109" s="106">
        <f>D109/D108*100</f>
        <v>49.281077972229085</v>
      </c>
      <c r="F109" s="106">
        <f t="shared" si="17"/>
        <v>64.98374864572048</v>
      </c>
      <c r="G109" s="106">
        <f t="shared" si="14"/>
        <v>30.065162907268174</v>
      </c>
      <c r="H109" s="104">
        <f aca="true" t="shared" si="18" ref="H109:H151">B109-D109</f>
        <v>323.19999999999993</v>
      </c>
      <c r="I109" s="104">
        <f t="shared" si="16"/>
        <v>1395.1999999999998</v>
      </c>
      <c r="K109" s="153"/>
      <c r="L109" s="101"/>
    </row>
    <row r="110" spans="1:12" s="93" customFormat="1" ht="34.5" customHeight="1" hidden="1">
      <c r="A110" s="107" t="s">
        <v>78</v>
      </c>
      <c r="B110" s="162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5">
        <v>96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96</v>
      </c>
      <c r="I111" s="100">
        <f t="shared" si="16"/>
        <v>200</v>
      </c>
      <c r="K111" s="153"/>
      <c r="L111" s="101"/>
    </row>
    <row r="112" spans="1:12" s="93" customFormat="1" ht="18" hidden="1">
      <c r="A112" s="102" t="s">
        <v>25</v>
      </c>
      <c r="B112" s="161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">
      <c r="A113" s="107" t="s">
        <v>89</v>
      </c>
      <c r="B113" s="165">
        <v>35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35</v>
      </c>
      <c r="I113" s="100">
        <f t="shared" si="16"/>
        <v>64.3</v>
      </c>
      <c r="K113" s="153"/>
      <c r="L113" s="101"/>
    </row>
    <row r="114" spans="1:12" s="93" customFormat="1" ht="36.75">
      <c r="A114" s="107" t="s">
        <v>38</v>
      </c>
      <c r="B114" s="165">
        <v>1415.3</v>
      </c>
      <c r="C114" s="100">
        <v>3311.5</v>
      </c>
      <c r="D114" s="98">
        <f>136.4+10+40+6.6+6.1+0.2+177.4+10+1.8+25.1+29.4+48.1+8.1+193.1+10+0.1+17.8+8.8+132.4+79.7+12.6+4.3+3.5</f>
        <v>961.5</v>
      </c>
      <c r="E114" s="99">
        <f>D114/D107*100</f>
        <v>0.9806451349700197</v>
      </c>
      <c r="F114" s="99">
        <f t="shared" si="17"/>
        <v>67.9361266162651</v>
      </c>
      <c r="G114" s="99">
        <f t="shared" si="14"/>
        <v>29.03518043182848</v>
      </c>
      <c r="H114" s="100">
        <f t="shared" si="18"/>
        <v>453.79999999999995</v>
      </c>
      <c r="I114" s="100">
        <f t="shared" si="16"/>
        <v>2350</v>
      </c>
      <c r="K114" s="153"/>
      <c r="L114" s="101"/>
    </row>
    <row r="115" spans="1:12" s="93" customFormat="1" ht="18" hidden="1">
      <c r="A115" s="111" t="s">
        <v>43</v>
      </c>
      <c r="B115" s="161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2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6.75">
      <c r="A117" s="107" t="s">
        <v>47</v>
      </c>
      <c r="B117" s="165">
        <v>149</v>
      </c>
      <c r="C117" s="100">
        <v>200</v>
      </c>
      <c r="D117" s="98">
        <v>15</v>
      </c>
      <c r="E117" s="99">
        <f>D117/D107*100</f>
        <v>0.01529867605257441</v>
      </c>
      <c r="F117" s="99">
        <f>D117/B117*100</f>
        <v>10.06711409395973</v>
      </c>
      <c r="G117" s="99">
        <f t="shared" si="14"/>
        <v>7.5</v>
      </c>
      <c r="H117" s="100">
        <f t="shared" si="18"/>
        <v>134</v>
      </c>
      <c r="I117" s="100">
        <f t="shared" si="16"/>
        <v>185</v>
      </c>
      <c r="K117" s="153"/>
      <c r="L117" s="101"/>
    </row>
    <row r="118" spans="1:12" s="113" customFormat="1" ht="18">
      <c r="A118" s="107" t="s">
        <v>15</v>
      </c>
      <c r="B118" s="165">
        <v>261.3</v>
      </c>
      <c r="C118" s="108">
        <v>491.6</v>
      </c>
      <c r="D118" s="98">
        <f>45.4+9.9+47+6.4+0.4+0.4+45.4+0.4+2.9+45.4+4+6.8+0.4</f>
        <v>214.80000000000004</v>
      </c>
      <c r="E118" s="99">
        <f>D118/D107*100</f>
        <v>0.21907704107286557</v>
      </c>
      <c r="F118" s="99">
        <f t="shared" si="17"/>
        <v>82.20436280137774</v>
      </c>
      <c r="G118" s="99">
        <f t="shared" si="14"/>
        <v>43.69406021155412</v>
      </c>
      <c r="H118" s="100">
        <f t="shared" si="18"/>
        <v>46.49999999999997</v>
      </c>
      <c r="I118" s="100">
        <f t="shared" si="16"/>
        <v>276.79999999999995</v>
      </c>
      <c r="K118" s="153"/>
      <c r="L118" s="101"/>
    </row>
    <row r="119" spans="1:12" s="114" customFormat="1" ht="18">
      <c r="A119" s="111" t="s">
        <v>43</v>
      </c>
      <c r="B119" s="164">
        <v>227.1</v>
      </c>
      <c r="C119" s="104">
        <v>408.8</v>
      </c>
      <c r="D119" s="105">
        <f>45.4+45.4+45.4+45.4</f>
        <v>181.6</v>
      </c>
      <c r="E119" s="106">
        <f>D119/D118*100</f>
        <v>84.54376163873368</v>
      </c>
      <c r="F119" s="106">
        <f t="shared" si="17"/>
        <v>79.96477322765301</v>
      </c>
      <c r="G119" s="106">
        <f t="shared" si="14"/>
        <v>44.422700587084144</v>
      </c>
      <c r="H119" s="104">
        <f t="shared" si="18"/>
        <v>45.5</v>
      </c>
      <c r="I119" s="104">
        <f t="shared" si="16"/>
        <v>227.20000000000002</v>
      </c>
      <c r="K119" s="153"/>
      <c r="L119" s="101"/>
    </row>
    <row r="120" spans="1:12" s="113" customFormat="1" ht="18">
      <c r="A120" s="107" t="s">
        <v>105</v>
      </c>
      <c r="B120" s="165">
        <v>85</v>
      </c>
      <c r="C120" s="108">
        <v>317</v>
      </c>
      <c r="D120" s="98">
        <v>3.6</v>
      </c>
      <c r="E120" s="99">
        <f>D120/D107*100</f>
        <v>0.003671682252617859</v>
      </c>
      <c r="F120" s="99">
        <f t="shared" si="17"/>
        <v>4.235294117647059</v>
      </c>
      <c r="G120" s="99">
        <f t="shared" si="14"/>
        <v>1.135646687697161</v>
      </c>
      <c r="H120" s="100">
        <f t="shared" si="18"/>
        <v>81.4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5">
        <v>480</v>
      </c>
      <c r="C121" s="108">
        <f>480+80</f>
        <v>560</v>
      </c>
      <c r="D121" s="109">
        <f>12</f>
        <v>12</v>
      </c>
      <c r="E121" s="112">
        <f>D121/D107*100</f>
        <v>0.012238940842059528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2572.6600000000003</v>
      </c>
      <c r="L121" s="101"/>
    </row>
    <row r="122" spans="1:12" s="116" customFormat="1" ht="18" hidden="1">
      <c r="A122" s="102" t="s">
        <v>80</v>
      </c>
      <c r="B122" s="161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" hidden="1">
      <c r="A123" s="102" t="s">
        <v>49</v>
      </c>
      <c r="B123" s="161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6.75">
      <c r="A124" s="107" t="s">
        <v>95</v>
      </c>
      <c r="B124" s="165">
        <f>19961+1477.7</f>
        <v>21438.7</v>
      </c>
      <c r="C124" s="108">
        <v>45511.3</v>
      </c>
      <c r="D124" s="109">
        <f>3529.6+2264.3+1265.3+2996.5+533.1+738.7+2380.2+1722.3+1049.4+1874.1+1476.2+1455.5</f>
        <v>21285.2</v>
      </c>
      <c r="E124" s="112">
        <f>D124/D107*100</f>
        <v>21.709025300950458</v>
      </c>
      <c r="F124" s="99">
        <f t="shared" si="17"/>
        <v>99.28400509359243</v>
      </c>
      <c r="G124" s="99">
        <f t="shared" si="14"/>
        <v>46.769044171447526</v>
      </c>
      <c r="H124" s="100">
        <f t="shared" si="18"/>
        <v>153.5</v>
      </c>
      <c r="I124" s="100">
        <f t="shared" si="16"/>
        <v>24226.100000000002</v>
      </c>
      <c r="K124" s="153"/>
      <c r="L124" s="101"/>
    </row>
    <row r="125" spans="1:12" s="113" customFormat="1" ht="18">
      <c r="A125" s="107" t="s">
        <v>91</v>
      </c>
      <c r="B125" s="165">
        <v>100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100</v>
      </c>
      <c r="I125" s="100">
        <f t="shared" si="16"/>
        <v>700</v>
      </c>
      <c r="K125" s="153"/>
      <c r="L125" s="101"/>
    </row>
    <row r="126" spans="1:12" s="113" customFormat="1" ht="36.75">
      <c r="A126" s="107" t="s">
        <v>100</v>
      </c>
      <c r="B126" s="165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6.75">
      <c r="A127" s="107" t="s">
        <v>85</v>
      </c>
      <c r="B127" s="165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" hidden="1">
      <c r="A128" s="111" t="s">
        <v>83</v>
      </c>
      <c r="B128" s="162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6.75">
      <c r="A129" s="107" t="s">
        <v>57</v>
      </c>
      <c r="B129" s="165">
        <f>248.4-20</f>
        <v>228.4</v>
      </c>
      <c r="C129" s="108">
        <v>942</v>
      </c>
      <c r="D129" s="109">
        <f>7+4.2+0.1+12.3+0.2+7.1+17.8+14.9+1.7+0.1+7.4+7+2.7+3.7+7.1+5.3+31.3+16.4+2.5</f>
        <v>148.8</v>
      </c>
      <c r="E129" s="112">
        <f>D129/D107*100</f>
        <v>0.15176286644153816</v>
      </c>
      <c r="F129" s="99">
        <f t="shared" si="17"/>
        <v>65.14886164623468</v>
      </c>
      <c r="G129" s="99">
        <f t="shared" si="14"/>
        <v>15.796178343949046</v>
      </c>
      <c r="H129" s="100">
        <f t="shared" si="18"/>
        <v>79.6</v>
      </c>
      <c r="I129" s="100">
        <f t="shared" si="16"/>
        <v>793.2</v>
      </c>
      <c r="K129" s="153"/>
      <c r="L129" s="101"/>
    </row>
    <row r="130" spans="1:12" s="114" customFormat="1" ht="18">
      <c r="A130" s="102" t="s">
        <v>88</v>
      </c>
      <c r="B130" s="164">
        <f>52.95-20</f>
        <v>32.95</v>
      </c>
      <c r="C130" s="104">
        <v>510.8</v>
      </c>
      <c r="D130" s="105">
        <f>7+7.1+7+7.1</f>
        <v>28.200000000000003</v>
      </c>
      <c r="E130" s="106">
        <f>D130/D129*100</f>
        <v>18.951612903225808</v>
      </c>
      <c r="F130" s="106">
        <f>D130/B130*100</f>
        <v>85.58421851289833</v>
      </c>
      <c r="G130" s="106">
        <f t="shared" si="14"/>
        <v>5.520751761942052</v>
      </c>
      <c r="H130" s="104">
        <f t="shared" si="18"/>
        <v>4.75</v>
      </c>
      <c r="I130" s="104">
        <f t="shared" si="16"/>
        <v>482.6</v>
      </c>
      <c r="K130" s="153"/>
      <c r="L130" s="101"/>
    </row>
    <row r="131" spans="1:12" s="113" customFormat="1" ht="36.75">
      <c r="A131" s="107" t="s">
        <v>103</v>
      </c>
      <c r="B131" s="165">
        <v>160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160</v>
      </c>
      <c r="I131" s="100">
        <f t="shared" si="16"/>
        <v>485</v>
      </c>
      <c r="K131" s="153"/>
      <c r="L131" s="101"/>
    </row>
    <row r="132" spans="1:12" s="114" customFormat="1" ht="18" hidden="1">
      <c r="A132" s="111" t="s">
        <v>43</v>
      </c>
      <c r="B132" s="161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2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2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5">
        <v>140</v>
      </c>
      <c r="C135" s="108">
        <v>383.2</v>
      </c>
      <c r="D135" s="109">
        <f>2.9+1.5+9.7+8.2</f>
        <v>22.299999999999997</v>
      </c>
      <c r="E135" s="112">
        <f>D135/D107*100</f>
        <v>0.022744031731493954</v>
      </c>
      <c r="F135" s="99">
        <f t="shared" si="17"/>
        <v>15.928571428571425</v>
      </c>
      <c r="G135" s="99">
        <f t="shared" si="14"/>
        <v>5.819415448851774</v>
      </c>
      <c r="H135" s="100">
        <f t="shared" si="18"/>
        <v>117.7</v>
      </c>
      <c r="I135" s="100">
        <f t="shared" si="16"/>
        <v>360.9</v>
      </c>
      <c r="K135" s="153"/>
      <c r="L135" s="101"/>
    </row>
    <row r="136" spans="1:12" s="113" customFormat="1" ht="39" customHeight="1">
      <c r="A136" s="107" t="s">
        <v>54</v>
      </c>
      <c r="B136" s="165">
        <v>80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80</v>
      </c>
      <c r="I136" s="100">
        <f t="shared" si="16"/>
        <v>350</v>
      </c>
      <c r="K136" s="153"/>
      <c r="L136" s="101"/>
    </row>
    <row r="137" spans="1:12" s="114" customFormat="1" ht="18">
      <c r="A137" s="102" t="s">
        <v>88</v>
      </c>
      <c r="B137" s="164">
        <v>26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26</v>
      </c>
      <c r="I137" s="104">
        <f>C137-D137</f>
        <v>110</v>
      </c>
      <c r="K137" s="179"/>
      <c r="L137" s="180"/>
    </row>
    <row r="138" spans="1:12" s="113" customFormat="1" ht="32.25" customHeight="1">
      <c r="A138" s="107" t="s">
        <v>84</v>
      </c>
      <c r="B138" s="165">
        <v>304.5</v>
      </c>
      <c r="C138" s="108">
        <v>607.7</v>
      </c>
      <c r="D138" s="109">
        <f>76+0.3+41+44+1.8+16.3+2.4+30+0.6+0.2+27.4+0.2</f>
        <v>240.20000000000002</v>
      </c>
      <c r="E138" s="112">
        <f>D138/D107*100</f>
        <v>0.24498279918855823</v>
      </c>
      <c r="F138" s="99">
        <f>D138/B138*100</f>
        <v>78.88341543513958</v>
      </c>
      <c r="G138" s="99">
        <f>D138/C138*100</f>
        <v>39.52608194832977</v>
      </c>
      <c r="H138" s="100">
        <f t="shared" si="18"/>
        <v>64.29999999999998</v>
      </c>
      <c r="I138" s="100">
        <f t="shared" si="16"/>
        <v>367.5</v>
      </c>
      <c r="K138" s="179"/>
      <c r="L138" s="180"/>
    </row>
    <row r="139" spans="1:12" s="114" customFormat="1" ht="18">
      <c r="A139" s="102" t="s">
        <v>25</v>
      </c>
      <c r="B139" s="164">
        <v>252</v>
      </c>
      <c r="C139" s="104">
        <v>489.6</v>
      </c>
      <c r="D139" s="105">
        <f>76+37.6+44+1.2+0.7+30+27.4</f>
        <v>216.89999999999998</v>
      </c>
      <c r="E139" s="106">
        <f>D139/D138*100</f>
        <v>90.29975020815985</v>
      </c>
      <c r="F139" s="106">
        <f t="shared" si="17"/>
        <v>86.07142857142857</v>
      </c>
      <c r="G139" s="106">
        <f>D139/C139*100</f>
        <v>44.30147058823529</v>
      </c>
      <c r="H139" s="104">
        <f t="shared" si="18"/>
        <v>35.10000000000002</v>
      </c>
      <c r="I139" s="104">
        <f t="shared" si="16"/>
        <v>272.70000000000005</v>
      </c>
      <c r="K139" s="179"/>
      <c r="L139" s="180"/>
    </row>
    <row r="140" spans="1:12" s="113" customFormat="1" ht="18">
      <c r="A140" s="107" t="s">
        <v>96</v>
      </c>
      <c r="B140" s="165">
        <v>711.8</v>
      </c>
      <c r="C140" s="108">
        <v>1760</v>
      </c>
      <c r="D140" s="109">
        <f>107.3+0.4+30.4+78.2+4.1+36.9+117.9+50.5+112.6+5.2+52.3</f>
        <v>595.8000000000001</v>
      </c>
      <c r="E140" s="112">
        <f>D140/D107*100</f>
        <v>0.6076634128082556</v>
      </c>
      <c r="F140" s="99">
        <f t="shared" si="17"/>
        <v>83.70328744029223</v>
      </c>
      <c r="G140" s="99">
        <f t="shared" si="14"/>
        <v>33.852272727272734</v>
      </c>
      <c r="H140" s="100">
        <f t="shared" si="18"/>
        <v>115.99999999999989</v>
      </c>
      <c r="I140" s="100">
        <f t="shared" si="16"/>
        <v>1164.1999999999998</v>
      </c>
      <c r="K140" s="179"/>
      <c r="L140" s="180"/>
    </row>
    <row r="141" spans="1:12" s="114" customFormat="1" ht="18">
      <c r="A141" s="111" t="s">
        <v>43</v>
      </c>
      <c r="B141" s="164">
        <v>570.5</v>
      </c>
      <c r="C141" s="104">
        <v>1437.4</v>
      </c>
      <c r="D141" s="105">
        <f>107.3+25.4+76+34+76.6+47.2+83.8+4.5+35.4</f>
        <v>490.19999999999993</v>
      </c>
      <c r="E141" s="106">
        <f>D141/D140*100</f>
        <v>82.27593152064449</v>
      </c>
      <c r="F141" s="106">
        <f aca="true" t="shared" si="19" ref="F141:F150">D141/B141*100</f>
        <v>85.92462751971954</v>
      </c>
      <c r="G141" s="106">
        <f t="shared" si="14"/>
        <v>34.1032419646584</v>
      </c>
      <c r="H141" s="104">
        <f t="shared" si="18"/>
        <v>80.30000000000007</v>
      </c>
      <c r="I141" s="104">
        <f t="shared" si="16"/>
        <v>947.2000000000002</v>
      </c>
      <c r="K141" s="179"/>
      <c r="L141" s="180"/>
    </row>
    <row r="142" spans="1:13" s="114" customFormat="1" ht="18">
      <c r="A142" s="102" t="s">
        <v>25</v>
      </c>
      <c r="B142" s="164">
        <v>26.7</v>
      </c>
      <c r="C142" s="104">
        <v>40</v>
      </c>
      <c r="D142" s="105">
        <f>0.4+4.9+0.7+4.7+3.3+0.4+0.7</f>
        <v>15.1</v>
      </c>
      <c r="E142" s="106">
        <f>D142/D140*100</f>
        <v>2.5344075193017788</v>
      </c>
      <c r="F142" s="106">
        <f t="shared" si="19"/>
        <v>56.55430711610487</v>
      </c>
      <c r="G142" s="106">
        <f>D142/C142*100</f>
        <v>37.75</v>
      </c>
      <c r="H142" s="104">
        <f t="shared" si="18"/>
        <v>11.6</v>
      </c>
      <c r="I142" s="104">
        <f t="shared" si="16"/>
        <v>24.9</v>
      </c>
      <c r="K142" s="179"/>
      <c r="L142" s="180"/>
      <c r="M142" s="154"/>
    </row>
    <row r="143" spans="1:12" s="113" customFormat="1" ht="33.75" customHeight="1">
      <c r="A143" s="117" t="s">
        <v>56</v>
      </c>
      <c r="B143" s="165">
        <f>90+7.5</f>
        <v>97.5</v>
      </c>
      <c r="C143" s="108">
        <f>90+534.5</f>
        <v>624.5</v>
      </c>
      <c r="D143" s="109"/>
      <c r="E143" s="112">
        <f>D143/D107*100</f>
        <v>0</v>
      </c>
      <c r="F143" s="99">
        <f t="shared" si="19"/>
        <v>0</v>
      </c>
      <c r="G143" s="99">
        <f t="shared" si="14"/>
        <v>0</v>
      </c>
      <c r="H143" s="100">
        <f t="shared" si="18"/>
        <v>97.5</v>
      </c>
      <c r="I143" s="100">
        <f t="shared" si="16"/>
        <v>624.5</v>
      </c>
      <c r="K143" s="179"/>
      <c r="L143" s="180"/>
    </row>
    <row r="144" spans="1:12" s="113" customFormat="1" ht="18" hidden="1">
      <c r="A144" s="117" t="s">
        <v>92</v>
      </c>
      <c r="B144" s="162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9"/>
      <c r="L144" s="180"/>
    </row>
    <row r="145" spans="1:12" s="113" customFormat="1" ht="18">
      <c r="A145" s="117" t="s">
        <v>97</v>
      </c>
      <c r="B145" s="165">
        <f>18472-1000</f>
        <v>17472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254.7+197.5+629.8+725.8+539.8+84+74.2+508.7+16.5+120.5+1481.6+832.6+99.5+375.2+120.4+395.9+31.6+377+15.9+619.7+572.8+566.7+1034+62.7+188.4+419+37.7+634.6+518.2+928.5</f>
        <v>12463.500000000002</v>
      </c>
      <c r="E145" s="112">
        <f>D145/D107*100</f>
        <v>12.71166993208408</v>
      </c>
      <c r="F145" s="99">
        <f t="shared" si="19"/>
        <v>71.33413461538463</v>
      </c>
      <c r="G145" s="99">
        <f t="shared" si="14"/>
        <v>22.724082038977453</v>
      </c>
      <c r="H145" s="100">
        <f t="shared" si="18"/>
        <v>5008.499999999998</v>
      </c>
      <c r="I145" s="100">
        <f t="shared" si="16"/>
        <v>42383.6</v>
      </c>
      <c r="K145" s="179"/>
      <c r="L145" s="180"/>
    </row>
    <row r="146" spans="1:12" s="113" customFormat="1" ht="18" hidden="1">
      <c r="A146" s="117" t="s">
        <v>86</v>
      </c>
      <c r="B146" s="162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9"/>
      <c r="L146" s="180"/>
    </row>
    <row r="147" spans="1:12" s="113" customFormat="1" ht="36.75" hidden="1">
      <c r="A147" s="117" t="s">
        <v>104</v>
      </c>
      <c r="B147" s="162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9"/>
      <c r="L147" s="180"/>
    </row>
    <row r="148" spans="1:12" s="113" customFormat="1" ht="18">
      <c r="A148" s="107" t="s">
        <v>98</v>
      </c>
      <c r="B148" s="165">
        <v>46.4</v>
      </c>
      <c r="C148" s="108">
        <v>162.3</v>
      </c>
      <c r="D148" s="109">
        <f>46.4</f>
        <v>46.4</v>
      </c>
      <c r="E148" s="112">
        <f>D148/D107*100</f>
        <v>0.04732390458929684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9"/>
      <c r="L148" s="180"/>
    </row>
    <row r="149" spans="1:12" s="113" customFormat="1" ht="18" customHeight="1">
      <c r="A149" s="107" t="s">
        <v>77</v>
      </c>
      <c r="B149" s="165">
        <v>5360.2</v>
      </c>
      <c r="C149" s="108">
        <f>10563.8+657.7</f>
        <v>11221.5</v>
      </c>
      <c r="D149" s="109">
        <f>791.9+575.3+777.6+830.9+722.1+47.7+657.7+821</f>
        <v>5224.2</v>
      </c>
      <c r="E149" s="112">
        <f>D149/D107*100</f>
        <v>5.328222895590615</v>
      </c>
      <c r="F149" s="99">
        <f t="shared" si="19"/>
        <v>97.46278123950599</v>
      </c>
      <c r="G149" s="99">
        <f t="shared" si="14"/>
        <v>46.55527335917658</v>
      </c>
      <c r="H149" s="100">
        <f t="shared" si="18"/>
        <v>136</v>
      </c>
      <c r="I149" s="100">
        <f t="shared" si="16"/>
        <v>5997.3</v>
      </c>
      <c r="K149" s="179"/>
      <c r="L149" s="180"/>
    </row>
    <row r="150" spans="1:12" s="113" customFormat="1" ht="19.5" customHeight="1">
      <c r="A150" s="147" t="s">
        <v>50</v>
      </c>
      <c r="B150" s="167">
        <f>98969.5-105+6119.2+1176.4+25887.1</f>
        <v>132047.19999999998</v>
      </c>
      <c r="C150" s="148">
        <f>350771.5+40351.1</f>
        <v>391122.6</v>
      </c>
      <c r="D150" s="149">
        <f>27.8+914.6+10874.2+1188.7+864.1+301.6+376.8+206.4+1075.1+354+2650.4+1522.6+53.5+786.8+81.3+1054.7+490+234.6+36.9+5277.5+291.8+23.3+540.8+832.4+305.2+3134.5+592.9+878.5+3382.3+14.5+805.7</f>
        <v>39173.5</v>
      </c>
      <c r="E150" s="150">
        <f>D150/D107*100</f>
        <v>39.95351242303491</v>
      </c>
      <c r="F150" s="151">
        <f t="shared" si="19"/>
        <v>29.66628599470493</v>
      </c>
      <c r="G150" s="151">
        <f t="shared" si="14"/>
        <v>10.015657494606552</v>
      </c>
      <c r="H150" s="152">
        <f t="shared" si="18"/>
        <v>92873.69999999998</v>
      </c>
      <c r="I150" s="152">
        <f>C150-D150</f>
        <v>351949.1</v>
      </c>
      <c r="K150" s="179"/>
      <c r="L150" s="180"/>
    </row>
    <row r="151" spans="1:12" s="113" customFormat="1" ht="18">
      <c r="A151" s="107" t="s">
        <v>99</v>
      </c>
      <c r="B151" s="165">
        <v>17596.9</v>
      </c>
      <c r="C151" s="108">
        <v>42232</v>
      </c>
      <c r="D151" s="109">
        <f>819+819+819.1+1062.3+1173.1+1173.1+1173.2+1173.1+1173.1+1173.2+1173.1+1173.1+1173.2+1173.1+1173.1</f>
        <v>16423.800000000003</v>
      </c>
      <c r="E151" s="112">
        <f>D151/D107*100</f>
        <v>16.750826383484778</v>
      </c>
      <c r="F151" s="99">
        <f t="shared" si="17"/>
        <v>93.3334848751769</v>
      </c>
      <c r="G151" s="99">
        <f t="shared" si="14"/>
        <v>38.889467702216336</v>
      </c>
      <c r="H151" s="100">
        <f t="shared" si="18"/>
        <v>1173.0999999999985</v>
      </c>
      <c r="I151" s="100">
        <f t="shared" si="16"/>
        <v>25808.199999999997</v>
      </c>
      <c r="K151" s="179"/>
      <c r="L151" s="180"/>
    </row>
    <row r="152" spans="1:12" s="2" customFormat="1" ht="18.75" thickBot="1">
      <c r="A152" s="29" t="s">
        <v>29</v>
      </c>
      <c r="B152" s="166"/>
      <c r="C152" s="63"/>
      <c r="D152" s="44">
        <f>D43+D69+D72+D77+D79+D87+D102+D107+D100+D84+D98</f>
        <v>102894.7</v>
      </c>
      <c r="E152" s="15"/>
      <c r="F152" s="15"/>
      <c r="G152" s="6"/>
      <c r="H152" s="52"/>
      <c r="I152" s="44"/>
      <c r="K152" s="179"/>
      <c r="L152" s="181"/>
    </row>
    <row r="153" spans="1:12" ht="18.75" thickBot="1">
      <c r="A153" s="12" t="s">
        <v>18</v>
      </c>
      <c r="B153" s="40">
        <f>B6+B18+B33+B43+B51+B59+B69+B72+B77+B79+B87+B90+B95+B102+B107+B100+B84+B98+B45</f>
        <v>888219.2899999998</v>
      </c>
      <c r="C153" s="40">
        <f>C6+C18+C33+C43+C51+C59+C69+C72+C77+C79+C87+C90+C95+C102+C107+C100+C84+C98+C45</f>
        <v>2165149.5</v>
      </c>
      <c r="D153" s="40">
        <f>D6+D18+D33+D43+D51+D59+D69+D72+D77+D79+D87+D90+D95+D102+D107+D100+D84+D98+D45</f>
        <v>651140.1999999997</v>
      </c>
      <c r="E153" s="28">
        <v>100</v>
      </c>
      <c r="F153" s="3">
        <f>D153/B153*100</f>
        <v>73.3084956981738</v>
      </c>
      <c r="G153" s="3">
        <f aca="true" t="shared" si="20" ref="G153:G159">D153/C153*100</f>
        <v>30.073683133658886</v>
      </c>
      <c r="H153" s="40">
        <f aca="true" t="shared" si="21" ref="H153:H159">B153-D153</f>
        <v>237079.09000000008</v>
      </c>
      <c r="I153" s="40">
        <f aca="true" t="shared" si="22" ref="I153:I159">C153-D153</f>
        <v>1514009.3000000003</v>
      </c>
      <c r="K153" s="182"/>
      <c r="L153" s="183"/>
    </row>
    <row r="154" spans="1:12" ht="18">
      <c r="A154" s="16" t="s">
        <v>5</v>
      </c>
      <c r="B154" s="51">
        <f>B8+B20+B34+B52+B60+B91+B115+B119+B46+B141+B132+B103</f>
        <v>381223.61</v>
      </c>
      <c r="C154" s="51">
        <f>C8+C20+C34+C52+C60+C91+C115+C119+C46+C141+C132+C103</f>
        <v>896180.8</v>
      </c>
      <c r="D154" s="51">
        <f>D8+D20+D34+D52+D60+D91+D115+D119+D46+D141+D132+D103</f>
        <v>304559.71</v>
      </c>
      <c r="E154" s="6">
        <f>D154/D153*100</f>
        <v>46.77329244915306</v>
      </c>
      <c r="F154" s="6">
        <f aca="true" t="shared" si="23" ref="F154:F159">D154/B154*100</f>
        <v>79.89004406101711</v>
      </c>
      <c r="G154" s="6">
        <f t="shared" si="20"/>
        <v>33.98418154015351</v>
      </c>
      <c r="H154" s="52">
        <f t="shared" si="21"/>
        <v>76663.89999999997</v>
      </c>
      <c r="I154" s="62">
        <f t="shared" si="22"/>
        <v>591621.0900000001</v>
      </c>
      <c r="K154" s="179"/>
      <c r="L154" s="183"/>
    </row>
    <row r="155" spans="1:12" ht="18">
      <c r="A155" s="16" t="s">
        <v>0</v>
      </c>
      <c r="B155" s="52">
        <f>B11+B23+B36+B55+B62+B92+B49+B142+B109+B112+B96+B139+B128</f>
        <v>61537.45</v>
      </c>
      <c r="C155" s="52">
        <f>C11+C23+C36+C55+C62+C92+C49+C142+C109+C112+C96+C139+C128</f>
        <v>110563.99999999999</v>
      </c>
      <c r="D155" s="52">
        <f>D11+D23+D36+D55+D62+D92+D49+D142+D109+D112+D96+D139+D128</f>
        <v>56577.60000000001</v>
      </c>
      <c r="E155" s="6">
        <f>D155/D153*100</f>
        <v>8.689004303527879</v>
      </c>
      <c r="F155" s="6">
        <f t="shared" si="23"/>
        <v>91.94011126557895</v>
      </c>
      <c r="G155" s="6">
        <f t="shared" si="20"/>
        <v>51.17180999240261</v>
      </c>
      <c r="H155" s="52">
        <f>B155-D155</f>
        <v>4959.849999999984</v>
      </c>
      <c r="I155" s="62">
        <f t="shared" si="22"/>
        <v>53986.39999999997</v>
      </c>
      <c r="K155" s="179"/>
      <c r="L155" s="184"/>
    </row>
    <row r="156" spans="1:12" ht="18">
      <c r="A156" s="16" t="s">
        <v>1</v>
      </c>
      <c r="B156" s="51">
        <f>B22+B10+B54+B48+B61+B35+B123</f>
        <v>21109.800000000007</v>
      </c>
      <c r="C156" s="51">
        <f>C22+C10+C54+C48+C61+C35+C123</f>
        <v>45915.9</v>
      </c>
      <c r="D156" s="51">
        <f>D22+D10+D54+D48+D61+D35+D123</f>
        <v>10348.900000000001</v>
      </c>
      <c r="E156" s="6">
        <f>D156/D153*100</f>
        <v>1.5893504962525746</v>
      </c>
      <c r="F156" s="6">
        <f t="shared" si="23"/>
        <v>49.02414992088981</v>
      </c>
      <c r="G156" s="6">
        <f t="shared" si="20"/>
        <v>22.53881553013227</v>
      </c>
      <c r="H156" s="52">
        <f t="shared" si="21"/>
        <v>10760.900000000005</v>
      </c>
      <c r="I156" s="62">
        <f t="shared" si="22"/>
        <v>35567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11160.25</v>
      </c>
      <c r="C157" s="51">
        <f>C12+C24+C104+C63+C38+C93+C130+C56+C137</f>
        <v>30174.999999999996</v>
      </c>
      <c r="D157" s="51">
        <f>D12+D24+D104+D63+D38+D93+D130+D56+D137</f>
        <v>9578.7</v>
      </c>
      <c r="E157" s="6">
        <f>D157/D153*100</f>
        <v>1.4710656783285696</v>
      </c>
      <c r="F157" s="6">
        <f t="shared" si="23"/>
        <v>85.82872247485496</v>
      </c>
      <c r="G157" s="6">
        <f t="shared" si="20"/>
        <v>31.743827671913845</v>
      </c>
      <c r="H157" s="52">
        <f>B157-D157</f>
        <v>1581.5499999999993</v>
      </c>
      <c r="I157" s="62">
        <f t="shared" si="22"/>
        <v>20596.299999999996</v>
      </c>
      <c r="K157" s="153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17.3</v>
      </c>
      <c r="E158" s="6">
        <f>D158/D153*100</f>
        <v>0.0026568778889707635</v>
      </c>
      <c r="F158" s="6">
        <f t="shared" si="23"/>
        <v>54.74683544303798</v>
      </c>
      <c r="G158" s="6">
        <f t="shared" si="20"/>
        <v>15.296198054818744</v>
      </c>
      <c r="H158" s="52">
        <f t="shared" si="21"/>
        <v>14.3</v>
      </c>
      <c r="I158" s="62">
        <f t="shared" si="22"/>
        <v>95.80000000000001</v>
      </c>
      <c r="K158" s="153"/>
      <c r="L158" s="33"/>
    </row>
    <row r="159" spans="1:12" ht="18.75" thickBot="1">
      <c r="A159" s="88" t="s">
        <v>27</v>
      </c>
      <c r="B159" s="64">
        <f>B153-B154-B155-B156-B157-B158</f>
        <v>413156.57999999984</v>
      </c>
      <c r="C159" s="64">
        <f>C153-C154-C155-C156-C157-C158</f>
        <v>1082200.7</v>
      </c>
      <c r="D159" s="64">
        <f>D153-D154-D155-D156-D157-D158</f>
        <v>270057.98999999964</v>
      </c>
      <c r="E159" s="31">
        <f>D159/D153*100</f>
        <v>41.47463019484894</v>
      </c>
      <c r="F159" s="31">
        <f t="shared" si="23"/>
        <v>65.3645622683777</v>
      </c>
      <c r="G159" s="31">
        <f t="shared" si="20"/>
        <v>24.95451998875991</v>
      </c>
      <c r="H159" s="89">
        <f t="shared" si="21"/>
        <v>143098.5900000002</v>
      </c>
      <c r="I159" s="89">
        <f t="shared" si="22"/>
        <v>812142.7100000003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651140.1999999997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651140.1999999997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2018-05-18T11:03:17Z</cp:lastPrinted>
  <dcterms:created xsi:type="dcterms:W3CDTF">2000-06-20T04:48:00Z</dcterms:created>
  <dcterms:modified xsi:type="dcterms:W3CDTF">2018-05-25T04:59:04Z</dcterms:modified>
  <cp:category/>
  <cp:version/>
  <cp:contentType/>
  <cp:contentStatus/>
</cp:coreProperties>
</file>